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ilwaukieoregon-my.sharepoint.com/personal/marcinkiewiczs_milwaukieoregon_gov/Documents/My Files/"/>
    </mc:Choice>
  </mc:AlternateContent>
  <xr:revisionPtr revIDLastSave="124" documentId="8_{F36AEF3B-05D9-4153-970E-B5BD569C0884}" xr6:coauthVersionLast="47" xr6:coauthVersionMax="47" xr10:uidLastSave="{3B447C7B-FAC9-4514-8E34-02344A12FE8F}"/>
  <bookViews>
    <workbookView xWindow="28680" yWindow="-120" windowWidth="29040" windowHeight="15720" xr2:uid="{21825778-2C86-42B4-8FC7-D6E58EC9466C}"/>
  </bookViews>
  <sheets>
    <sheet name="NSFR Fee Calc Estimat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7" i="1" l="1"/>
  <c r="G5" i="1"/>
  <c r="Q29" i="1"/>
  <c r="F18" i="1"/>
  <c r="I5" i="1"/>
  <c r="Q21" i="1" s="1"/>
  <c r="W29" i="1"/>
  <c r="U29" i="1"/>
  <c r="S29" i="1"/>
  <c r="W21" i="1"/>
  <c r="U21" i="1"/>
  <c r="S21" i="1"/>
  <c r="O21" i="1"/>
  <c r="C25" i="1" l="1"/>
  <c r="H50" i="1"/>
  <c r="C47" i="1" s="1"/>
  <c r="H48" i="1" l="1"/>
  <c r="C48" i="1" s="1"/>
  <c r="F51" i="1" l="1"/>
  <c r="H52" i="1" s="1"/>
  <c r="C56" i="1" s="1"/>
  <c r="C67" i="1"/>
  <c r="C69" i="1" s="1"/>
  <c r="F43" i="1"/>
  <c r="L45" i="1" s="1"/>
  <c r="C57" i="1"/>
  <c r="G9" i="1"/>
  <c r="G7" i="1"/>
  <c r="G8" i="1"/>
  <c r="C39" i="1" l="1"/>
  <c r="C59" i="1"/>
  <c r="C58" i="1"/>
  <c r="G6" i="1"/>
  <c r="G4" i="1"/>
  <c r="G3" i="1"/>
  <c r="C61" i="1" l="1"/>
  <c r="C40" i="1"/>
  <c r="C38" i="1"/>
  <c r="C15" i="1"/>
  <c r="C26" i="1" l="1"/>
  <c r="C27" i="1"/>
  <c r="C42" i="1"/>
  <c r="O13" i="1"/>
  <c r="L46" i="1"/>
  <c r="C46" i="1" s="1"/>
  <c r="O24" i="1" l="1"/>
  <c r="O34" i="1" s="1"/>
  <c r="W24" i="1"/>
  <c r="C49" i="1"/>
  <c r="C50" i="1"/>
  <c r="C28" i="1"/>
  <c r="W26" i="1"/>
  <c r="W27" i="1" s="1"/>
  <c r="W31" i="1" s="1"/>
  <c r="U26" i="1"/>
  <c r="U27" i="1" s="1"/>
  <c r="U31" i="1" s="1"/>
  <c r="S24" i="1"/>
  <c r="U24" i="1"/>
  <c r="U34" i="1" s="1"/>
  <c r="S26" i="1"/>
  <c r="S27" i="1" s="1"/>
  <c r="S31" i="1" s="1"/>
  <c r="Q24" i="1"/>
  <c r="Q26" i="1"/>
  <c r="Q27" i="1" s="1"/>
  <c r="Q31" i="1" s="1"/>
  <c r="W34" i="1" l="1"/>
  <c r="S34" i="1"/>
  <c r="C52" i="1"/>
  <c r="Q34" i="1"/>
  <c r="C18" i="1" l="1"/>
  <c r="C20" i="1" l="1"/>
  <c r="C19" i="1"/>
  <c r="C21" i="1"/>
  <c r="C30" i="1" l="1"/>
  <c r="C72" i="1" s="1"/>
  <c r="C22" i="1"/>
</calcChain>
</file>

<file path=xl/sharedStrings.xml><?xml version="1.0" encoding="utf-8"?>
<sst xmlns="http://schemas.openxmlformats.org/spreadsheetml/2006/main" count="137" uniqueCount="109">
  <si>
    <t>Square Footage of Living Space</t>
  </si>
  <si>
    <t>Square Footage of Garage Space</t>
  </si>
  <si>
    <t>Square Footage of Covered Porches/Patios</t>
  </si>
  <si>
    <t>Square Footage of Unfinished Space</t>
  </si>
  <si>
    <t>Price per Square Foot</t>
  </si>
  <si>
    <t>Totals</t>
  </si>
  <si>
    <t>Building Plan Review</t>
  </si>
  <si>
    <t>State Surcharge</t>
  </si>
  <si>
    <t>Technology Fee</t>
  </si>
  <si>
    <t>Percent of Building Fee</t>
  </si>
  <si>
    <t>Construction Excise Taxes (CET)</t>
  </si>
  <si>
    <t>School Tax</t>
  </si>
  <si>
    <t>Affordable Housing</t>
  </si>
  <si>
    <t>Metro</t>
  </si>
  <si>
    <t>Your Project Valuation</t>
  </si>
  <si>
    <t>Percent of Valuation</t>
  </si>
  <si>
    <t>**</t>
  </si>
  <si>
    <t>*</t>
  </si>
  <si>
    <t>* - Amount Due at Submital</t>
  </si>
  <si>
    <t>Building Permit Fees</t>
  </si>
  <si>
    <t>New Single Family Residence Fee Calculation Estimator</t>
  </si>
  <si>
    <t>Mechanical Permit Fees</t>
  </si>
  <si>
    <t>Mechanical Plan Review</t>
  </si>
  <si>
    <t>TOTAL FEES ESTIMATED:</t>
  </si>
  <si>
    <t>Percent of Mechanical Fee</t>
  </si>
  <si>
    <t>Furnace</t>
  </si>
  <si>
    <t>Gas Piping</t>
  </si>
  <si>
    <t>Radon Mitigation</t>
  </si>
  <si>
    <t>Range Hood</t>
  </si>
  <si>
    <t>Price per Fan</t>
  </si>
  <si>
    <t>Number of Fireplaces</t>
  </si>
  <si>
    <t>Price per Fireplace</t>
  </si>
  <si>
    <t>Price per Unit</t>
  </si>
  <si>
    <t>Number of Air Conditioners</t>
  </si>
  <si>
    <t>Clothes Dryer</t>
  </si>
  <si>
    <t>Water Heater</t>
  </si>
  <si>
    <t>Minimum Permit Fee</t>
  </si>
  <si>
    <t>Electrical Permit Fees</t>
  </si>
  <si>
    <t>Basic Mechanical Fees (included in permit fee):</t>
  </si>
  <si>
    <t>Percent of Electrical Fee</t>
  </si>
  <si>
    <t>Mechanical Permit Fee</t>
  </si>
  <si>
    <t>Electrical Permit Fee</t>
  </si>
  <si>
    <t>Building Permit Fee</t>
  </si>
  <si>
    <t>Plumbing Permit Fees</t>
  </si>
  <si>
    <t>Drywell</t>
  </si>
  <si>
    <t>Plumbing Permit Fee</t>
  </si>
  <si>
    <t>Drywell Fee</t>
  </si>
  <si>
    <t>Percent of Plumbing Fee</t>
  </si>
  <si>
    <t>Number of Baths (half counts as 1)</t>
  </si>
  <si>
    <t>***</t>
  </si>
  <si>
    <t>*** Permit fee includes up to 100 feet of utilities</t>
  </si>
  <si>
    <t>Each Additional 500 sq ft</t>
  </si>
  <si>
    <t>First 1,000 sq ft</t>
  </si>
  <si>
    <t>Electrical Square Footage:</t>
  </si>
  <si>
    <t>Portion:</t>
  </si>
  <si>
    <t>Rounded:</t>
  </si>
  <si>
    <t>Electrical Calculations</t>
  </si>
  <si>
    <t>First calculation (sq ft)</t>
  </si>
  <si>
    <t>Second calculation (sq ft)</t>
  </si>
  <si>
    <t>Erosion Control Permit Fees</t>
  </si>
  <si>
    <t>Erosion Control Permit Fee</t>
  </si>
  <si>
    <t>2 Bath</t>
  </si>
  <si>
    <t>1 Bath</t>
  </si>
  <si>
    <t>3 Bath</t>
  </si>
  <si>
    <t>Additional Baths</t>
  </si>
  <si>
    <t>Number of Baths</t>
  </si>
  <si>
    <t>Plumbing Calculations</t>
  </si>
  <si>
    <t>Building Fee Table</t>
  </si>
  <si>
    <t>1 to 5,000</t>
  </si>
  <si>
    <t>5,001 to 25,000</t>
  </si>
  <si>
    <t>25,001 to 50,000</t>
  </si>
  <si>
    <t>50,001 to 100,000</t>
  </si>
  <si>
    <t>Base</t>
  </si>
  <si>
    <t>Each 1,000</t>
  </si>
  <si>
    <t>Valuation:</t>
  </si>
  <si>
    <t>Building Permit Calculations:</t>
  </si>
  <si>
    <t>Higher Or Equal To:</t>
  </si>
  <si>
    <t>Equal or Lower Than:</t>
  </si>
  <si>
    <t>Result if False</t>
  </si>
  <si>
    <t>Credit (Base)</t>
  </si>
  <si>
    <t>sq ft</t>
  </si>
  <si>
    <t>Base Fee:</t>
  </si>
  <si>
    <t>Portion Per 1,000</t>
  </si>
  <si>
    <t>Portion Total:</t>
  </si>
  <si>
    <t>PERMIT FEE TOTAL:</t>
  </si>
  <si>
    <t>Portion over base:</t>
  </si>
  <si>
    <t>Not Until Over (sq ft)</t>
  </si>
  <si>
    <t>Not Until Over (Value)</t>
  </si>
  <si>
    <r>
      <t xml:space="preserve">** - Fees </t>
    </r>
    <r>
      <rPr>
        <b/>
        <u/>
        <sz val="11"/>
        <color theme="1"/>
        <rFont val="Calibri"/>
        <family val="2"/>
        <scheme val="minor"/>
      </rPr>
      <t>DO NOT</t>
    </r>
    <r>
      <rPr>
        <sz val="11"/>
        <color theme="1"/>
        <rFont val="Calibri"/>
        <family val="2"/>
        <scheme val="minor"/>
      </rPr>
      <t xml:space="preserve"> include SDC Fees - For SDC fees, contact:</t>
    </r>
  </si>
  <si>
    <t>engineering@milwaukieoregon.gov</t>
  </si>
  <si>
    <t>GRAND TOTAL ESTIMATE:</t>
  </si>
  <si>
    <t>Limited Energy</t>
  </si>
  <si>
    <t>Number of Limited Energy</t>
  </si>
  <si>
    <t>Limited Energy Calculations:</t>
  </si>
  <si>
    <t>For Right of Way permits, contact: engineering@milwaukieoregon.gov</t>
  </si>
  <si>
    <t>****</t>
  </si>
  <si>
    <t>**** This estimate DOES NOT include a Right of Way Permit.</t>
  </si>
  <si>
    <t>Number of Exhaust Fans (Bath and Laundry)</t>
  </si>
  <si>
    <t>Building Permit Subtotal:</t>
  </si>
  <si>
    <t>Construction Excise Tax Subtotal:</t>
  </si>
  <si>
    <t>Temp Service</t>
  </si>
  <si>
    <t>Number of Temp Services (200 amp or less)</t>
  </si>
  <si>
    <t>Temp Service Calculations:</t>
  </si>
  <si>
    <t>Temporary Service</t>
  </si>
  <si>
    <t>Result If True (Base Fee)</t>
  </si>
  <si>
    <t>Fees are subject to change at any time</t>
  </si>
  <si>
    <t>Over 100,000</t>
  </si>
  <si>
    <t>Fees calculated are for fiscal year 24-25</t>
  </si>
  <si>
    <t>Price per Square Foot (half garage)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</si>
</sst>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i/>
      <u/>
      <sz val="16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i/>
      <sz val="8"/>
      <color theme="0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E5DBF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D5C7B5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2" fillId="0" borderId="0" applyNumberFormat="0" applyFill="0" applyBorder="0" applyAlignment="0" applyProtection="0"/>
  </cellStyleXfs>
  <cellXfs count="59">
    <xf numFmtId="0" fontId="0" fillId="0" borderId="0" xfId="0"/>
    <xf numFmtId="0" fontId="0" fillId="0" borderId="0" xfId="0" applyAlignment="1" applyProtection="1">
      <alignment horizontal="center"/>
      <protection locked="0"/>
    </xf>
    <xf numFmtId="164" fontId="0" fillId="2" borderId="0" xfId="1" applyNumberFormat="1" applyFont="1" applyFill="1" applyProtection="1"/>
    <xf numFmtId="0" fontId="0" fillId="3" borderId="0" xfId="0" applyFill="1"/>
    <xf numFmtId="0" fontId="0" fillId="0" borderId="0" xfId="0" applyAlignment="1">
      <alignment horizontal="center"/>
    </xf>
    <xf numFmtId="0" fontId="2" fillId="3" borderId="0" xfId="0" applyFont="1" applyFill="1"/>
    <xf numFmtId="164" fontId="0" fillId="0" borderId="0" xfId="0" applyNumberFormat="1"/>
    <xf numFmtId="164" fontId="0" fillId="2" borderId="0" xfId="0" applyNumberFormat="1" applyFill="1"/>
    <xf numFmtId="0" fontId="0" fillId="4" borderId="0" xfId="0" applyFill="1"/>
    <xf numFmtId="0" fontId="2" fillId="4" borderId="0" xfId="0" applyFont="1" applyFill="1"/>
    <xf numFmtId="164" fontId="2" fillId="4" borderId="0" xfId="0" applyNumberFormat="1" applyFont="1" applyFill="1"/>
    <xf numFmtId="0" fontId="9" fillId="0" borderId="0" xfId="0" applyFont="1"/>
    <xf numFmtId="164" fontId="0" fillId="4" borderId="0" xfId="0" applyNumberFormat="1" applyFill="1"/>
    <xf numFmtId="0" fontId="7" fillId="4" borderId="0" xfId="0" applyFont="1" applyFill="1"/>
    <xf numFmtId="0" fontId="0" fillId="10" borderId="0" xfId="0" applyFill="1"/>
    <xf numFmtId="164" fontId="0" fillId="10" borderId="0" xfId="0" applyNumberFormat="1" applyFill="1"/>
    <xf numFmtId="0" fontId="8" fillId="4" borderId="0" xfId="0" applyFont="1" applyFill="1"/>
    <xf numFmtId="0" fontId="0" fillId="2" borderId="0" xfId="0" applyFill="1"/>
    <xf numFmtId="0" fontId="2" fillId="4" borderId="3" xfId="0" applyFont="1" applyFill="1" applyBorder="1"/>
    <xf numFmtId="164" fontId="2" fillId="4" borderId="3" xfId="0" applyNumberFormat="1" applyFont="1" applyFill="1" applyBorder="1"/>
    <xf numFmtId="0" fontId="4" fillId="4" borderId="0" xfId="0" applyFont="1" applyFill="1"/>
    <xf numFmtId="0" fontId="5" fillId="4" borderId="1" xfId="0" applyFont="1" applyFill="1" applyBorder="1" applyAlignment="1">
      <alignment horizontal="right"/>
    </xf>
    <xf numFmtId="164" fontId="3" fillId="4" borderId="2" xfId="0" applyNumberFormat="1" applyFont="1" applyFill="1" applyBorder="1"/>
    <xf numFmtId="0" fontId="10" fillId="4" borderId="0" xfId="0" applyFont="1" applyFill="1"/>
    <xf numFmtId="164" fontId="3" fillId="4" borderId="0" xfId="0" applyNumberFormat="1" applyFont="1" applyFill="1"/>
    <xf numFmtId="0" fontId="0" fillId="6" borderId="0" xfId="0" applyFill="1"/>
    <xf numFmtId="0" fontId="7" fillId="6" borderId="0" xfId="0" applyFont="1" applyFill="1"/>
    <xf numFmtId="164" fontId="0" fillId="6" borderId="0" xfId="0" applyNumberFormat="1" applyFill="1"/>
    <xf numFmtId="0" fontId="5" fillId="6" borderId="1" xfId="0" applyFont="1" applyFill="1" applyBorder="1" applyAlignment="1">
      <alignment horizontal="right"/>
    </xf>
    <xf numFmtId="164" fontId="3" fillId="6" borderId="2" xfId="0" applyNumberFormat="1" applyFont="1" applyFill="1" applyBorder="1"/>
    <xf numFmtId="0" fontId="0" fillId="5" borderId="0" xfId="0" applyFill="1"/>
    <xf numFmtId="0" fontId="7" fillId="5" borderId="0" xfId="0" applyFont="1" applyFill="1"/>
    <xf numFmtId="164" fontId="0" fillId="5" borderId="0" xfId="0" applyNumberFormat="1" applyFill="1"/>
    <xf numFmtId="0" fontId="18" fillId="0" borderId="0" xfId="0" applyFont="1"/>
    <xf numFmtId="0" fontId="5" fillId="5" borderId="1" xfId="0" applyFont="1" applyFill="1" applyBorder="1" applyAlignment="1">
      <alignment horizontal="right"/>
    </xf>
    <xf numFmtId="164" fontId="3" fillId="5" borderId="2" xfId="0" applyNumberFormat="1" applyFont="1" applyFill="1" applyBorder="1"/>
    <xf numFmtId="0" fontId="0" fillId="7" borderId="0" xfId="0" applyFill="1"/>
    <xf numFmtId="0" fontId="7" fillId="7" borderId="0" xfId="0" applyFont="1" applyFill="1"/>
    <xf numFmtId="164" fontId="0" fillId="7" borderId="0" xfId="0" applyNumberFormat="1" applyFill="1"/>
    <xf numFmtId="0" fontId="5" fillId="7" borderId="1" xfId="0" applyFont="1" applyFill="1" applyBorder="1" applyAlignment="1">
      <alignment horizontal="right"/>
    </xf>
    <xf numFmtId="164" fontId="3" fillId="7" borderId="2" xfId="0" applyNumberFormat="1" applyFont="1" applyFill="1" applyBorder="1"/>
    <xf numFmtId="0" fontId="0" fillId="8" borderId="0" xfId="0" applyFill="1"/>
    <xf numFmtId="0" fontId="7" fillId="8" borderId="0" xfId="0" applyFont="1" applyFill="1"/>
    <xf numFmtId="164" fontId="0" fillId="8" borderId="0" xfId="0" applyNumberFormat="1" applyFill="1"/>
    <xf numFmtId="0" fontId="5" fillId="8" borderId="1" xfId="0" applyFont="1" applyFill="1" applyBorder="1" applyAlignment="1">
      <alignment horizontal="right"/>
    </xf>
    <xf numFmtId="164" fontId="3" fillId="8" borderId="2" xfId="0" applyNumberFormat="1" applyFont="1" applyFill="1" applyBorder="1"/>
    <xf numFmtId="0" fontId="0" fillId="9" borderId="0" xfId="0" applyFill="1"/>
    <xf numFmtId="0" fontId="13" fillId="9" borderId="0" xfId="0" applyFont="1" applyFill="1" applyAlignment="1">
      <alignment horizontal="right"/>
    </xf>
    <xf numFmtId="164" fontId="13" fillId="9" borderId="0" xfId="0" applyNumberFormat="1" applyFont="1" applyFill="1"/>
    <xf numFmtId="0" fontId="14" fillId="9" borderId="0" xfId="0" applyFont="1" applyFill="1"/>
    <xf numFmtId="0" fontId="15" fillId="9" borderId="0" xfId="0" applyFont="1" applyFill="1" applyAlignment="1">
      <alignment horizontal="center"/>
    </xf>
    <xf numFmtId="0" fontId="16" fillId="9" borderId="0" xfId="0" applyFont="1" applyFill="1" applyAlignment="1">
      <alignment horizontal="center"/>
    </xf>
    <xf numFmtId="0" fontId="0" fillId="9" borderId="0" xfId="0" applyFill="1" applyAlignment="1">
      <alignment horizontal="center"/>
    </xf>
    <xf numFmtId="0" fontId="17" fillId="9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3" fillId="3" borderId="0" xfId="0" applyFont="1" applyFill="1" applyAlignment="1">
      <alignment horizontal="center"/>
    </xf>
    <xf numFmtId="0" fontId="15" fillId="9" borderId="0" xfId="0" applyFont="1" applyFill="1" applyAlignment="1">
      <alignment horizontal="center"/>
    </xf>
    <xf numFmtId="0" fontId="12" fillId="4" borderId="0" xfId="2" applyFill="1" applyAlignment="1" applyProtection="1">
      <alignment horizontal="center"/>
    </xf>
    <xf numFmtId="0" fontId="0" fillId="4" borderId="0" xfId="0" applyFill="1" applyAlignment="1">
      <alignment horizontal="center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colors>
    <mruColors>
      <color rgb="FFE5DBF1"/>
      <color rgb="FFD5C7B5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ngineering@milwaukieoregon.go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853E77-B447-4646-AAF2-0C60C5C366CA}">
  <dimension ref="A1:Y79"/>
  <sheetViews>
    <sheetView tabSelected="1" workbookViewId="0">
      <selection activeCell="C3" sqref="C3"/>
    </sheetView>
  </sheetViews>
  <sheetFormatPr defaultColWidth="9" defaultRowHeight="15" x14ac:dyDescent="0.25"/>
  <cols>
    <col min="2" max="2" width="41.28515625" customWidth="1"/>
    <col min="3" max="3" width="16" customWidth="1"/>
    <col min="4" max="4" width="5" bestFit="1" customWidth="1"/>
    <col min="5" max="5" width="31.5703125" hidden="1" customWidth="1"/>
    <col min="6" max="6" width="8.5703125" hidden="1" customWidth="1"/>
    <col min="7" max="7" width="12.5703125" hidden="1" customWidth="1"/>
    <col min="8" max="8" width="43.85546875" hidden="1" customWidth="1"/>
    <col min="9" max="9" width="9.140625" hidden="1" customWidth="1"/>
    <col min="10" max="10" width="10" hidden="1" customWidth="1"/>
    <col min="11" max="11" width="9.5703125" hidden="1" customWidth="1"/>
    <col min="12" max="12" width="2" hidden="1" customWidth="1"/>
    <col min="13" max="13" width="9" hidden="1" customWidth="1"/>
    <col min="14" max="14" width="27.85546875" hidden="1" customWidth="1"/>
    <col min="15" max="16" width="10.7109375" hidden="1" customWidth="1"/>
    <col min="17" max="17" width="10.140625" hidden="1" customWidth="1"/>
    <col min="18" max="18" width="10.7109375" hidden="1" customWidth="1"/>
    <col min="19" max="19" width="10.140625" hidden="1" customWidth="1"/>
    <col min="20" max="20" width="5" hidden="1" customWidth="1"/>
    <col min="21" max="21" width="11.140625" hidden="1" customWidth="1"/>
    <col min="22" max="22" width="9" hidden="1" customWidth="1"/>
    <col min="23" max="23" width="11.140625" hidden="1" customWidth="1"/>
    <col min="24" max="24" width="9" hidden="1" customWidth="1"/>
    <col min="25" max="25" width="11.140625" hidden="1" customWidth="1"/>
  </cols>
  <sheetData>
    <row r="1" spans="1:21" ht="21" x14ac:dyDescent="0.35">
      <c r="A1" s="54" t="s">
        <v>20</v>
      </c>
      <c r="B1" s="55"/>
      <c r="C1" s="55"/>
      <c r="D1" s="55"/>
    </row>
    <row r="2" spans="1:21" x14ac:dyDescent="0.25">
      <c r="A2" s="3"/>
      <c r="B2" s="3"/>
      <c r="C2" s="3"/>
      <c r="D2" s="3"/>
      <c r="G2" s="4" t="s">
        <v>5</v>
      </c>
      <c r="H2" t="s">
        <v>67</v>
      </c>
    </row>
    <row r="3" spans="1:21" x14ac:dyDescent="0.25">
      <c r="A3" s="3"/>
      <c r="B3" s="5" t="s">
        <v>0</v>
      </c>
      <c r="C3" s="1"/>
      <c r="D3" s="3"/>
      <c r="E3" t="s">
        <v>4</v>
      </c>
      <c r="F3" s="2">
        <v>165.67</v>
      </c>
      <c r="G3" s="6">
        <f t="shared" ref="G3:G9" si="0">C3*F3</f>
        <v>0</v>
      </c>
      <c r="I3" s="4" t="s">
        <v>72</v>
      </c>
      <c r="J3" s="4" t="s">
        <v>73</v>
      </c>
    </row>
    <row r="4" spans="1:21" x14ac:dyDescent="0.25">
      <c r="A4" s="3"/>
      <c r="B4" s="5" t="s">
        <v>1</v>
      </c>
      <c r="C4" s="1"/>
      <c r="D4" s="3"/>
      <c r="E4" t="s">
        <v>4</v>
      </c>
      <c r="F4" s="2">
        <v>64.19</v>
      </c>
      <c r="G4" s="6">
        <f t="shared" si="0"/>
        <v>0</v>
      </c>
      <c r="H4" t="s">
        <v>68</v>
      </c>
      <c r="I4" s="7">
        <v>150.75</v>
      </c>
      <c r="J4" s="7"/>
    </row>
    <row r="5" spans="1:21" x14ac:dyDescent="0.25">
      <c r="A5" s="3"/>
      <c r="B5" s="5" t="s">
        <v>2</v>
      </c>
      <c r="C5" s="1"/>
      <c r="D5" s="3"/>
      <c r="E5" t="s">
        <v>108</v>
      </c>
      <c r="F5" s="2">
        <v>32.090000000000003</v>
      </c>
      <c r="G5" s="6">
        <f>C5*F5</f>
        <v>0</v>
      </c>
      <c r="H5" t="s">
        <v>69</v>
      </c>
      <c r="I5" s="6">
        <f>I4</f>
        <v>150.75</v>
      </c>
      <c r="J5" s="7">
        <v>15.5</v>
      </c>
    </row>
    <row r="6" spans="1:21" x14ac:dyDescent="0.25">
      <c r="A6" s="3"/>
      <c r="B6" s="5" t="s">
        <v>3</v>
      </c>
      <c r="C6" s="1"/>
      <c r="D6" s="3"/>
      <c r="E6" t="s">
        <v>4</v>
      </c>
      <c r="F6" s="2">
        <v>31.5</v>
      </c>
      <c r="G6" s="6">
        <f t="shared" si="0"/>
        <v>0</v>
      </c>
      <c r="H6" t="s">
        <v>70</v>
      </c>
      <c r="I6" s="7">
        <v>460.75</v>
      </c>
      <c r="J6" s="7">
        <v>11.5</v>
      </c>
    </row>
    <row r="7" spans="1:21" x14ac:dyDescent="0.25">
      <c r="A7" s="3"/>
      <c r="B7" s="5" t="s">
        <v>33</v>
      </c>
      <c r="C7" s="1"/>
      <c r="D7" s="3"/>
      <c r="E7" t="s">
        <v>32</v>
      </c>
      <c r="F7" s="2">
        <v>50.35</v>
      </c>
      <c r="G7" s="6">
        <f t="shared" si="0"/>
        <v>0</v>
      </c>
      <c r="H7" t="s">
        <v>71</v>
      </c>
      <c r="I7" s="7">
        <v>748.25</v>
      </c>
      <c r="J7" s="7">
        <v>7.8</v>
      </c>
    </row>
    <row r="8" spans="1:21" x14ac:dyDescent="0.25">
      <c r="A8" s="3"/>
      <c r="B8" s="5" t="s">
        <v>97</v>
      </c>
      <c r="C8" s="1"/>
      <c r="D8" s="3"/>
      <c r="E8" t="s">
        <v>29</v>
      </c>
      <c r="F8" s="2">
        <v>10.75</v>
      </c>
      <c r="G8" s="6">
        <f t="shared" si="0"/>
        <v>0</v>
      </c>
      <c r="H8" t="s">
        <v>106</v>
      </c>
      <c r="I8" s="7">
        <v>1138.25</v>
      </c>
      <c r="J8" s="7">
        <v>6.5</v>
      </c>
    </row>
    <row r="9" spans="1:21" x14ac:dyDescent="0.25">
      <c r="A9" s="3"/>
      <c r="B9" s="5" t="s">
        <v>30</v>
      </c>
      <c r="C9" s="1"/>
      <c r="D9" s="3"/>
      <c r="E9" t="s">
        <v>31</v>
      </c>
      <c r="F9" s="2">
        <v>44.4</v>
      </c>
      <c r="G9" s="6">
        <f t="shared" si="0"/>
        <v>0</v>
      </c>
      <c r="I9" s="6"/>
      <c r="J9" s="6"/>
    </row>
    <row r="10" spans="1:21" x14ac:dyDescent="0.25">
      <c r="A10" s="3"/>
      <c r="B10" s="5" t="s">
        <v>48</v>
      </c>
      <c r="C10" s="1"/>
      <c r="D10" s="3"/>
    </row>
    <row r="11" spans="1:21" x14ac:dyDescent="0.25">
      <c r="A11" s="3"/>
      <c r="B11" s="5" t="s">
        <v>92</v>
      </c>
      <c r="C11" s="1"/>
      <c r="D11" s="3"/>
      <c r="F11" s="6"/>
    </row>
    <row r="12" spans="1:21" x14ac:dyDescent="0.25">
      <c r="A12" s="3"/>
      <c r="B12" s="5" t="s">
        <v>101</v>
      </c>
      <c r="C12" s="1"/>
      <c r="D12" s="3"/>
    </row>
    <row r="13" spans="1:21" x14ac:dyDescent="0.25">
      <c r="A13" s="3"/>
      <c r="B13" s="3"/>
      <c r="C13" s="3"/>
      <c r="D13" s="3"/>
      <c r="N13" t="s">
        <v>74</v>
      </c>
      <c r="O13" s="6">
        <f>C15</f>
        <v>0</v>
      </c>
      <c r="S13" t="s">
        <v>54</v>
      </c>
      <c r="T13">
        <v>1000</v>
      </c>
      <c r="U13" t="s">
        <v>80</v>
      </c>
    </row>
    <row r="14" spans="1:21" x14ac:dyDescent="0.25">
      <c r="A14" s="8"/>
      <c r="B14" s="8"/>
      <c r="C14" s="8"/>
      <c r="D14" s="8"/>
    </row>
    <row r="15" spans="1:21" x14ac:dyDescent="0.25">
      <c r="A15" s="8"/>
      <c r="B15" s="9" t="s">
        <v>14</v>
      </c>
      <c r="C15" s="10">
        <f>G3+G4+G5+G6</f>
        <v>0</v>
      </c>
      <c r="D15" s="8"/>
      <c r="N15" s="11" t="s">
        <v>75</v>
      </c>
    </row>
    <row r="16" spans="1:21" x14ac:dyDescent="0.25">
      <c r="A16" s="8"/>
      <c r="B16" s="8"/>
      <c r="C16" s="12"/>
      <c r="D16" s="8"/>
    </row>
    <row r="17" spans="1:25" ht="21" x14ac:dyDescent="0.35">
      <c r="A17" s="8"/>
      <c r="B17" s="13" t="s">
        <v>19</v>
      </c>
      <c r="C17" s="12"/>
      <c r="D17" s="8"/>
      <c r="N17" t="s">
        <v>79</v>
      </c>
      <c r="Q17" s="14">
        <v>5000</v>
      </c>
      <c r="S17" s="14">
        <v>25000</v>
      </c>
      <c r="U17" s="14">
        <v>50000</v>
      </c>
      <c r="W17" s="14">
        <v>100000</v>
      </c>
    </row>
    <row r="18" spans="1:25" x14ac:dyDescent="0.25">
      <c r="A18" s="8"/>
      <c r="B18" s="8" t="s">
        <v>42</v>
      </c>
      <c r="C18" s="12">
        <f>MAX(O34+Q34+S34+U34+W34+Y34,F18)</f>
        <v>150.75</v>
      </c>
      <c r="D18" s="8"/>
      <c r="E18" t="s">
        <v>36</v>
      </c>
      <c r="F18" s="6">
        <f>I4</f>
        <v>150.75</v>
      </c>
      <c r="N18" t="s">
        <v>76</v>
      </c>
      <c r="O18" s="15">
        <v>1</v>
      </c>
      <c r="P18" s="15"/>
      <c r="Q18" s="15">
        <v>5000.01</v>
      </c>
      <c r="R18" s="15"/>
      <c r="S18" s="15">
        <v>25000.01</v>
      </c>
      <c r="T18" s="15"/>
      <c r="U18" s="15">
        <v>50000.01</v>
      </c>
      <c r="V18" s="15"/>
      <c r="W18" s="15">
        <v>100000.01</v>
      </c>
      <c r="X18" s="15"/>
      <c r="Y18" s="6"/>
    </row>
    <row r="19" spans="1:25" x14ac:dyDescent="0.25">
      <c r="A19" s="8"/>
      <c r="B19" s="8" t="s">
        <v>6</v>
      </c>
      <c r="C19" s="12">
        <f>ROUND((C18*F19),2)</f>
        <v>113.06</v>
      </c>
      <c r="D19" s="16" t="s">
        <v>17</v>
      </c>
      <c r="E19" t="s">
        <v>9</v>
      </c>
      <c r="F19" s="17">
        <v>0.75</v>
      </c>
      <c r="N19" t="s">
        <v>77</v>
      </c>
      <c r="O19" s="15">
        <v>5000</v>
      </c>
      <c r="P19" s="15"/>
      <c r="Q19" s="15">
        <v>25000</v>
      </c>
      <c r="R19" s="15"/>
      <c r="S19" s="15">
        <v>50000</v>
      </c>
      <c r="T19" s="15"/>
      <c r="U19" s="15">
        <v>100000</v>
      </c>
      <c r="V19" s="15"/>
      <c r="W19" s="15"/>
      <c r="X19" s="15"/>
      <c r="Y19" s="6"/>
    </row>
    <row r="20" spans="1:25" x14ac:dyDescent="0.25">
      <c r="A20" s="8"/>
      <c r="B20" s="8" t="s">
        <v>7</v>
      </c>
      <c r="C20" s="12">
        <f>ROUND((C18*F20),2)</f>
        <v>18.09</v>
      </c>
      <c r="D20" s="8"/>
      <c r="E20" t="s">
        <v>9</v>
      </c>
      <c r="F20" s="17">
        <v>0.12</v>
      </c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</row>
    <row r="21" spans="1:25" x14ac:dyDescent="0.25">
      <c r="A21" s="8"/>
      <c r="B21" s="8" t="s">
        <v>8</v>
      </c>
      <c r="C21" s="12">
        <f>ROUND((C18*F21),2)</f>
        <v>7.54</v>
      </c>
      <c r="D21" s="8"/>
      <c r="E21" t="s">
        <v>9</v>
      </c>
      <c r="F21" s="17">
        <v>0.05</v>
      </c>
      <c r="N21" t="s">
        <v>104</v>
      </c>
      <c r="O21" s="15">
        <f>I4</f>
        <v>150.75</v>
      </c>
      <c r="P21" s="15"/>
      <c r="Q21" s="15">
        <f>I5</f>
        <v>150.75</v>
      </c>
      <c r="R21" s="15"/>
      <c r="S21" s="15">
        <f>I6</f>
        <v>460.75</v>
      </c>
      <c r="T21" s="15"/>
      <c r="U21" s="15">
        <f>I7</f>
        <v>748.25</v>
      </c>
      <c r="V21" s="15"/>
      <c r="W21" s="15">
        <f>I8</f>
        <v>1138.25</v>
      </c>
      <c r="X21" s="15"/>
      <c r="Y21" s="6"/>
    </row>
    <row r="22" spans="1:25" x14ac:dyDescent="0.25">
      <c r="A22" s="8"/>
      <c r="B22" s="18" t="s">
        <v>98</v>
      </c>
      <c r="C22" s="19">
        <f>C18+C19+C20+C21</f>
        <v>289.44</v>
      </c>
      <c r="D22" s="8"/>
      <c r="N22" t="s">
        <v>78</v>
      </c>
      <c r="O22">
        <v>0</v>
      </c>
      <c r="Q22">
        <v>0</v>
      </c>
      <c r="S22">
        <v>0</v>
      </c>
      <c r="U22">
        <v>0</v>
      </c>
      <c r="W22">
        <v>0</v>
      </c>
    </row>
    <row r="23" spans="1:25" x14ac:dyDescent="0.25">
      <c r="A23" s="8"/>
      <c r="B23" s="8"/>
      <c r="C23" s="8"/>
      <c r="D23" s="8"/>
    </row>
    <row r="24" spans="1:25" ht="18.75" x14ac:dyDescent="0.3">
      <c r="A24" s="8"/>
      <c r="B24" s="20" t="s">
        <v>10</v>
      </c>
      <c r="C24" s="12"/>
      <c r="D24" s="8"/>
      <c r="N24" t="s">
        <v>81</v>
      </c>
      <c r="O24">
        <f>+IF(AND(O13&gt;=O18,O13&lt;=O19),O21,O22)</f>
        <v>0</v>
      </c>
      <c r="Q24">
        <f>+IF(AND(O13&gt;=Q18,O13&lt;=Q19),Q21,Q22)</f>
        <v>0</v>
      </c>
      <c r="S24">
        <f>+IF(AND(O13&gt;=S18,O13&lt;=S19),S21,S22)</f>
        <v>0</v>
      </c>
      <c r="U24">
        <f>+IF(AND(O13&gt;=U18,O13&lt;=U19),U21,U22)</f>
        <v>0</v>
      </c>
      <c r="W24">
        <f>IF(O13&gt;=W18,W21,W22)</f>
        <v>0</v>
      </c>
    </row>
    <row r="25" spans="1:25" x14ac:dyDescent="0.25">
      <c r="A25" s="8"/>
      <c r="B25" s="8" t="s">
        <v>11</v>
      </c>
      <c r="C25" s="12">
        <f>ROUND((IF(C3&lt;I25,0,C3*F25)),2)</f>
        <v>0</v>
      </c>
      <c r="D25" s="8" t="s">
        <v>16</v>
      </c>
      <c r="E25" t="s">
        <v>4</v>
      </c>
      <c r="F25" s="17">
        <v>1.63</v>
      </c>
      <c r="H25" t="s">
        <v>86</v>
      </c>
      <c r="I25" s="17">
        <v>1000</v>
      </c>
    </row>
    <row r="26" spans="1:25" x14ac:dyDescent="0.25">
      <c r="A26" s="8"/>
      <c r="B26" s="8" t="s">
        <v>12</v>
      </c>
      <c r="C26" s="12">
        <f>ROUND((IF(C15&lt;=I26,0,C15*F26)),2)</f>
        <v>0</v>
      </c>
      <c r="D26" s="8"/>
      <c r="E26" t="s">
        <v>15</v>
      </c>
      <c r="F26" s="17">
        <v>0.01</v>
      </c>
      <c r="H26" t="s">
        <v>87</v>
      </c>
      <c r="I26" s="17">
        <v>100000</v>
      </c>
      <c r="N26" t="s">
        <v>85</v>
      </c>
      <c r="Q26">
        <f>MAX(0,(O13-Q17)/T13)</f>
        <v>0</v>
      </c>
      <c r="S26">
        <f>MAX(0,(O13-S17)/T13)</f>
        <v>0</v>
      </c>
      <c r="U26">
        <f>MAX(0,(O13-U17)/T13)</f>
        <v>0</v>
      </c>
      <c r="W26">
        <f>MAX(0,(O13-W17)/T13)</f>
        <v>0</v>
      </c>
    </row>
    <row r="27" spans="1:25" x14ac:dyDescent="0.25">
      <c r="A27" s="8"/>
      <c r="B27" s="8" t="s">
        <v>13</v>
      </c>
      <c r="C27" s="12">
        <f>ROUND((IF(C15&lt;=I27,0,C15*F27)),2)</f>
        <v>0</v>
      </c>
      <c r="D27" s="8"/>
      <c r="E27" t="s">
        <v>15</v>
      </c>
      <c r="F27" s="17">
        <v>1.1999999999999999E-3</v>
      </c>
      <c r="H27" t="s">
        <v>87</v>
      </c>
      <c r="I27" s="17">
        <v>100000</v>
      </c>
      <c r="N27" t="s">
        <v>55</v>
      </c>
      <c r="Q27">
        <f>ROUNDUP(Q26,0)</f>
        <v>0</v>
      </c>
      <c r="S27">
        <f>ROUNDUP(S26,0)</f>
        <v>0</v>
      </c>
      <c r="U27">
        <f>ROUNDUP(U26,0)</f>
        <v>0</v>
      </c>
      <c r="W27">
        <f>ROUNDUP(W26,0)</f>
        <v>0</v>
      </c>
    </row>
    <row r="28" spans="1:25" x14ac:dyDescent="0.25">
      <c r="A28" s="8"/>
      <c r="B28" s="18" t="s">
        <v>99</v>
      </c>
      <c r="C28" s="19">
        <f>C25+C26+C27</f>
        <v>0</v>
      </c>
      <c r="D28" s="8"/>
    </row>
    <row r="29" spans="1:25" x14ac:dyDescent="0.25">
      <c r="A29" s="8"/>
      <c r="B29" s="8"/>
      <c r="C29" s="8"/>
      <c r="D29" s="8"/>
      <c r="N29" t="s">
        <v>82</v>
      </c>
      <c r="Q29" s="15">
        <f>J5</f>
        <v>15.5</v>
      </c>
      <c r="R29" s="15"/>
      <c r="S29" s="15">
        <f>J6</f>
        <v>11.5</v>
      </c>
      <c r="T29" s="15"/>
      <c r="U29" s="15">
        <f>J7</f>
        <v>7.8</v>
      </c>
      <c r="V29" s="15"/>
      <c r="W29" s="15">
        <f>J8</f>
        <v>6.5</v>
      </c>
      <c r="X29" s="15"/>
      <c r="Y29" s="6"/>
    </row>
    <row r="30" spans="1:25" ht="21" x14ac:dyDescent="0.35">
      <c r="A30" s="8"/>
      <c r="B30" s="21" t="s">
        <v>23</v>
      </c>
      <c r="C30" s="22">
        <f>C18+C19+C20+C21+C25+C26+C27</f>
        <v>289.44</v>
      </c>
      <c r="D30" s="8"/>
    </row>
    <row r="31" spans="1:25" ht="18.75" x14ac:dyDescent="0.3">
      <c r="A31" s="8"/>
      <c r="B31" s="23" t="s">
        <v>18</v>
      </c>
      <c r="C31" s="24"/>
      <c r="D31" s="8"/>
      <c r="N31" t="s">
        <v>83</v>
      </c>
      <c r="Q31" s="6">
        <f>Q29*Q27</f>
        <v>0</v>
      </c>
      <c r="S31" s="6">
        <f>S29*S27</f>
        <v>0</v>
      </c>
      <c r="U31" s="6">
        <f>U29*U27</f>
        <v>0</v>
      </c>
      <c r="W31" s="6">
        <f>W29*W27</f>
        <v>0</v>
      </c>
      <c r="Y31" s="6"/>
    </row>
    <row r="32" spans="1:25" x14ac:dyDescent="0.25">
      <c r="A32" s="8"/>
      <c r="B32" s="58" t="s">
        <v>88</v>
      </c>
      <c r="C32" s="58"/>
      <c r="D32" s="8"/>
    </row>
    <row r="33" spans="1:25" x14ac:dyDescent="0.25">
      <c r="A33" s="8"/>
      <c r="B33" s="57" t="s">
        <v>89</v>
      </c>
      <c r="C33" s="57"/>
      <c r="D33" s="8"/>
    </row>
    <row r="34" spans="1:25" x14ac:dyDescent="0.25">
      <c r="A34" s="8"/>
      <c r="B34" s="8"/>
      <c r="C34" s="8"/>
      <c r="D34" s="8"/>
      <c r="N34" t="s">
        <v>84</v>
      </c>
      <c r="O34" s="6">
        <f>IF(O24=0,0,O24)</f>
        <v>0</v>
      </c>
      <c r="P34" s="6"/>
      <c r="Q34" s="6">
        <f>IF(Q24=0,0,Q24+Q31)</f>
        <v>0</v>
      </c>
      <c r="R34" s="6"/>
      <c r="S34" s="6">
        <f>IF(S24=0,0,S24+S31)</f>
        <v>0</v>
      </c>
      <c r="T34" s="6"/>
      <c r="U34" s="6">
        <f>IF(U24=0,0,U24+U31)</f>
        <v>0</v>
      </c>
      <c r="V34" s="6"/>
      <c r="W34" s="6">
        <f>IF(W24=0,0,W24+W31)</f>
        <v>0</v>
      </c>
      <c r="X34" s="6"/>
      <c r="Y34" s="6"/>
    </row>
    <row r="35" spans="1:25" x14ac:dyDescent="0.25">
      <c r="A35" s="25"/>
      <c r="B35" s="25"/>
      <c r="C35" s="25"/>
      <c r="D35" s="25"/>
      <c r="H35" s="11" t="s">
        <v>38</v>
      </c>
      <c r="Q35" s="6"/>
      <c r="S35" s="6"/>
      <c r="U35" s="6"/>
      <c r="W35" s="6"/>
      <c r="Y35" s="6"/>
    </row>
    <row r="36" spans="1:25" ht="21" x14ac:dyDescent="0.35">
      <c r="A36" s="25"/>
      <c r="B36" s="26" t="s">
        <v>21</v>
      </c>
      <c r="C36" s="25"/>
      <c r="D36" s="25"/>
      <c r="H36" t="s">
        <v>34</v>
      </c>
      <c r="I36" s="7">
        <v>15.5</v>
      </c>
    </row>
    <row r="37" spans="1:25" x14ac:dyDescent="0.25">
      <c r="A37" s="25"/>
      <c r="B37" s="25" t="s">
        <v>40</v>
      </c>
      <c r="C37" s="27">
        <f>ROUND((MAX((G7+G8+G9+I36+I37+I38+I39+I40+I41),F37)),2)</f>
        <v>155.9</v>
      </c>
      <c r="D37" s="25"/>
      <c r="E37" t="s">
        <v>36</v>
      </c>
      <c r="F37" s="7">
        <v>155.9</v>
      </c>
      <c r="H37" t="s">
        <v>25</v>
      </c>
      <c r="I37" s="7">
        <v>23.4</v>
      </c>
    </row>
    <row r="38" spans="1:25" x14ac:dyDescent="0.25">
      <c r="A38" s="25"/>
      <c r="B38" s="25" t="s">
        <v>22</v>
      </c>
      <c r="C38" s="27">
        <f>ROUND((C37*F38),2)</f>
        <v>77.95</v>
      </c>
      <c r="D38" s="25"/>
      <c r="E38" t="s">
        <v>24</v>
      </c>
      <c r="F38" s="17">
        <v>0.5</v>
      </c>
      <c r="H38" t="s">
        <v>26</v>
      </c>
      <c r="I38" s="7">
        <v>27.6</v>
      </c>
    </row>
    <row r="39" spans="1:25" x14ac:dyDescent="0.25">
      <c r="A39" s="25"/>
      <c r="B39" s="25" t="s">
        <v>7</v>
      </c>
      <c r="C39" s="27">
        <f>ROUND((C37*F39),2)</f>
        <v>18.71</v>
      </c>
      <c r="D39" s="25"/>
      <c r="E39" t="s">
        <v>24</v>
      </c>
      <c r="F39" s="17">
        <v>0.12</v>
      </c>
      <c r="H39" t="s">
        <v>27</v>
      </c>
      <c r="I39" s="7">
        <v>23.4</v>
      </c>
    </row>
    <row r="40" spans="1:25" x14ac:dyDescent="0.25">
      <c r="A40" s="25"/>
      <c r="B40" s="25" t="s">
        <v>8</v>
      </c>
      <c r="C40" s="27">
        <f>ROUND((C37*F40),2)</f>
        <v>7.8</v>
      </c>
      <c r="D40" s="25"/>
      <c r="E40" t="s">
        <v>24</v>
      </c>
      <c r="F40" s="17">
        <v>0.05</v>
      </c>
      <c r="H40" t="s">
        <v>28</v>
      </c>
      <c r="I40" s="7">
        <v>13.15</v>
      </c>
    </row>
    <row r="41" spans="1:25" x14ac:dyDescent="0.25">
      <c r="A41" s="25"/>
      <c r="B41" s="25"/>
      <c r="C41" s="27"/>
      <c r="D41" s="25"/>
      <c r="H41" t="s">
        <v>35</v>
      </c>
      <c r="I41" s="7">
        <v>23.4</v>
      </c>
    </row>
    <row r="42" spans="1:25" ht="21" x14ac:dyDescent="0.35">
      <c r="A42" s="25"/>
      <c r="B42" s="28" t="s">
        <v>23</v>
      </c>
      <c r="C42" s="29">
        <f>C37+C38+C39+C40</f>
        <v>260.36</v>
      </c>
      <c r="D42" s="25"/>
    </row>
    <row r="43" spans="1:25" x14ac:dyDescent="0.25">
      <c r="A43" s="25"/>
      <c r="B43" s="25"/>
      <c r="C43" s="25"/>
      <c r="D43" s="25"/>
      <c r="E43" t="s">
        <v>53</v>
      </c>
      <c r="F43">
        <f>C3+C4</f>
        <v>0</v>
      </c>
      <c r="H43" s="11" t="s">
        <v>56</v>
      </c>
    </row>
    <row r="44" spans="1:25" x14ac:dyDescent="0.25">
      <c r="A44" s="30"/>
      <c r="B44" s="30"/>
      <c r="C44" s="30"/>
      <c r="D44" s="30"/>
      <c r="E44" t="s">
        <v>52</v>
      </c>
      <c r="F44" s="7">
        <v>315.14999999999998</v>
      </c>
      <c r="H44" t="s">
        <v>57</v>
      </c>
      <c r="I44" s="17">
        <v>1000</v>
      </c>
    </row>
    <row r="45" spans="1:25" ht="21" x14ac:dyDescent="0.35">
      <c r="A45" s="30"/>
      <c r="B45" s="31" t="s">
        <v>37</v>
      </c>
      <c r="C45" s="30"/>
      <c r="D45" s="30"/>
      <c r="E45" t="s">
        <v>51</v>
      </c>
      <c r="F45" s="7">
        <v>64.400000000000006</v>
      </c>
      <c r="H45" t="s">
        <v>58</v>
      </c>
      <c r="I45" s="17">
        <v>500</v>
      </c>
      <c r="K45" t="s">
        <v>54</v>
      </c>
      <c r="L45">
        <f>MAX(0,(F43-I44)/I45)</f>
        <v>0</v>
      </c>
    </row>
    <row r="46" spans="1:25" x14ac:dyDescent="0.25">
      <c r="A46" s="30"/>
      <c r="B46" s="30" t="s">
        <v>41</v>
      </c>
      <c r="C46" s="32">
        <f>ROUND((MAX(F44+(F45*L46),F46)),2)</f>
        <v>315.14999999999998</v>
      </c>
      <c r="D46" s="30"/>
      <c r="E46" t="s">
        <v>36</v>
      </c>
      <c r="F46" s="7">
        <v>155.9</v>
      </c>
      <c r="K46" t="s">
        <v>55</v>
      </c>
      <c r="L46">
        <f>ROUNDUP(L45,0)</f>
        <v>0</v>
      </c>
    </row>
    <row r="47" spans="1:25" x14ac:dyDescent="0.25">
      <c r="A47" s="30"/>
      <c r="B47" s="30" t="s">
        <v>103</v>
      </c>
      <c r="C47" s="32">
        <f>H50</f>
        <v>0</v>
      </c>
      <c r="D47" s="30"/>
      <c r="E47" t="s">
        <v>39</v>
      </c>
      <c r="F47" s="17">
        <v>0.12</v>
      </c>
      <c r="H47" s="11" t="s">
        <v>93</v>
      </c>
      <c r="I47" s="6"/>
    </row>
    <row r="48" spans="1:25" x14ac:dyDescent="0.25">
      <c r="A48" s="30"/>
      <c r="B48" s="30" t="s">
        <v>91</v>
      </c>
      <c r="C48" s="32">
        <f>H48</f>
        <v>0</v>
      </c>
      <c r="D48" s="30"/>
      <c r="E48" t="s">
        <v>39</v>
      </c>
      <c r="F48" s="17">
        <v>0.05</v>
      </c>
      <c r="H48" s="6">
        <f>IF(C11&gt;0,F49*C11,0)</f>
        <v>0</v>
      </c>
    </row>
    <row r="49" spans="1:8" x14ac:dyDescent="0.25">
      <c r="A49" s="30"/>
      <c r="B49" s="30" t="s">
        <v>7</v>
      </c>
      <c r="C49" s="32">
        <f>ROUND(((C46+C47+C48)*F47),2)</f>
        <v>37.82</v>
      </c>
      <c r="D49" s="30"/>
      <c r="E49" t="s">
        <v>91</v>
      </c>
      <c r="F49" s="7">
        <v>127.55</v>
      </c>
      <c r="H49" s="33" t="s">
        <v>102</v>
      </c>
    </row>
    <row r="50" spans="1:8" x14ac:dyDescent="0.25">
      <c r="A50" s="30"/>
      <c r="B50" s="30" t="s">
        <v>8</v>
      </c>
      <c r="C50" s="32">
        <f>ROUND(((C46+C47+C48)*F48),2)</f>
        <v>15.76</v>
      </c>
      <c r="D50" s="30"/>
      <c r="E50" t="s">
        <v>100</v>
      </c>
      <c r="F50" s="7">
        <v>110</v>
      </c>
      <c r="H50" s="6">
        <f>IF(C12&gt;0,F50*C12,0)</f>
        <v>0</v>
      </c>
    </row>
    <row r="51" spans="1:8" x14ac:dyDescent="0.25">
      <c r="A51" s="30"/>
      <c r="B51" s="30"/>
      <c r="C51" s="32"/>
      <c r="D51" s="30"/>
      <c r="E51" t="s">
        <v>65</v>
      </c>
      <c r="F51">
        <f>C10</f>
        <v>0</v>
      </c>
      <c r="H51" s="11" t="s">
        <v>66</v>
      </c>
    </row>
    <row r="52" spans="1:8" ht="21" x14ac:dyDescent="0.35">
      <c r="A52" s="30"/>
      <c r="B52" s="34" t="s">
        <v>23</v>
      </c>
      <c r="C52" s="35">
        <f>C46+C47+C48+C49+C50</f>
        <v>368.72999999999996</v>
      </c>
      <c r="D52" s="30"/>
      <c r="E52" t="s">
        <v>62</v>
      </c>
      <c r="F52" s="7">
        <v>654.9</v>
      </c>
      <c r="H52" s="6">
        <f>IF(F51=0,0,IF(F51=1,F52, IF(F51=2,F53,IF(F51=3,F54,((F51-3)*F55)+F54))))</f>
        <v>0</v>
      </c>
    </row>
    <row r="53" spans="1:8" x14ac:dyDescent="0.25">
      <c r="A53" s="30"/>
      <c r="B53" s="30"/>
      <c r="C53" s="30"/>
      <c r="D53" s="30"/>
      <c r="E53" t="s">
        <v>61</v>
      </c>
      <c r="F53" s="7">
        <v>723.65</v>
      </c>
    </row>
    <row r="54" spans="1:8" x14ac:dyDescent="0.25">
      <c r="A54" s="36"/>
      <c r="B54" s="36"/>
      <c r="C54" s="36"/>
      <c r="D54" s="36"/>
      <c r="E54" t="s">
        <v>63</v>
      </c>
      <c r="F54" s="7">
        <v>860</v>
      </c>
    </row>
    <row r="55" spans="1:8" ht="21" x14ac:dyDescent="0.35">
      <c r="A55" s="36"/>
      <c r="B55" s="37" t="s">
        <v>43</v>
      </c>
      <c r="C55" s="36"/>
      <c r="D55" s="36"/>
      <c r="E55" t="s">
        <v>64</v>
      </c>
      <c r="F55" s="7">
        <v>342.35</v>
      </c>
    </row>
    <row r="56" spans="1:8" x14ac:dyDescent="0.25">
      <c r="A56" s="36"/>
      <c r="B56" s="36" t="s">
        <v>45</v>
      </c>
      <c r="C56" s="38">
        <f>ROUND((MAX(H52,F56)),2)</f>
        <v>155.9</v>
      </c>
      <c r="D56" s="36" t="s">
        <v>49</v>
      </c>
      <c r="E56" t="s">
        <v>36</v>
      </c>
      <c r="F56" s="7">
        <v>155.9</v>
      </c>
    </row>
    <row r="57" spans="1:8" x14ac:dyDescent="0.25">
      <c r="A57" s="36"/>
      <c r="B57" s="36" t="s">
        <v>44</v>
      </c>
      <c r="C57" s="38">
        <f>F57</f>
        <v>118.45</v>
      </c>
      <c r="D57" s="36"/>
      <c r="E57" t="s">
        <v>46</v>
      </c>
      <c r="F57" s="7">
        <v>118.45</v>
      </c>
    </row>
    <row r="58" spans="1:8" x14ac:dyDescent="0.25">
      <c r="A58" s="36"/>
      <c r="B58" s="36" t="s">
        <v>7</v>
      </c>
      <c r="C58" s="38">
        <f>ROUND((C56*F58),2)</f>
        <v>18.71</v>
      </c>
      <c r="D58" s="36"/>
      <c r="E58" t="s">
        <v>47</v>
      </c>
      <c r="F58" s="17">
        <v>0.12</v>
      </c>
    </row>
    <row r="59" spans="1:8" x14ac:dyDescent="0.25">
      <c r="A59" s="36"/>
      <c r="B59" s="36" t="s">
        <v>8</v>
      </c>
      <c r="C59" s="38">
        <f>ROUND((C56*F59),2)</f>
        <v>7.8</v>
      </c>
      <c r="D59" s="36"/>
      <c r="E59" t="s">
        <v>47</v>
      </c>
      <c r="F59" s="17">
        <v>0.05</v>
      </c>
    </row>
    <row r="60" spans="1:8" x14ac:dyDescent="0.25">
      <c r="A60" s="36"/>
      <c r="B60" s="36"/>
      <c r="C60" s="38"/>
      <c r="D60" s="36"/>
    </row>
    <row r="61" spans="1:8" ht="21" x14ac:dyDescent="0.35">
      <c r="A61" s="36"/>
      <c r="B61" s="39" t="s">
        <v>23</v>
      </c>
      <c r="C61" s="40">
        <f>C56+C57+C58+C59</f>
        <v>300.86</v>
      </c>
      <c r="D61" s="36"/>
    </row>
    <row r="62" spans="1:8" x14ac:dyDescent="0.25">
      <c r="A62" s="36"/>
      <c r="B62" s="36"/>
      <c r="C62" s="36"/>
      <c r="D62" s="36"/>
    </row>
    <row r="63" spans="1:8" x14ac:dyDescent="0.25">
      <c r="A63" s="36"/>
      <c r="B63" s="36" t="s">
        <v>50</v>
      </c>
      <c r="C63" s="36"/>
      <c r="D63" s="36"/>
    </row>
    <row r="64" spans="1:8" x14ac:dyDescent="0.25">
      <c r="A64" s="36"/>
      <c r="B64" s="36"/>
      <c r="C64" s="36"/>
      <c r="D64" s="36"/>
    </row>
    <row r="65" spans="1:6" x14ac:dyDescent="0.25">
      <c r="A65" s="41"/>
      <c r="B65" s="41"/>
      <c r="C65" s="41"/>
      <c r="D65" s="41"/>
    </row>
    <row r="66" spans="1:6" ht="21" x14ac:dyDescent="0.35">
      <c r="A66" s="41"/>
      <c r="B66" s="42" t="s">
        <v>59</v>
      </c>
      <c r="C66" s="41"/>
      <c r="D66" s="41"/>
    </row>
    <row r="67" spans="1:6" x14ac:dyDescent="0.25">
      <c r="A67" s="41"/>
      <c r="B67" s="41" t="s">
        <v>60</v>
      </c>
      <c r="C67" s="43">
        <f>F67</f>
        <v>420</v>
      </c>
      <c r="D67" s="41"/>
      <c r="E67" t="s">
        <v>60</v>
      </c>
      <c r="F67" s="7">
        <v>420</v>
      </c>
    </row>
    <row r="68" spans="1:6" x14ac:dyDescent="0.25">
      <c r="A68" s="41"/>
      <c r="B68" s="41"/>
      <c r="C68" s="41"/>
      <c r="D68" s="41"/>
    </row>
    <row r="69" spans="1:6" ht="21" x14ac:dyDescent="0.35">
      <c r="A69" s="41"/>
      <c r="B69" s="44" t="s">
        <v>23</v>
      </c>
      <c r="C69" s="45">
        <f>C67</f>
        <v>420</v>
      </c>
      <c r="D69" s="41"/>
    </row>
    <row r="70" spans="1:6" x14ac:dyDescent="0.25">
      <c r="A70" s="41"/>
      <c r="B70" s="41"/>
      <c r="C70" s="41"/>
      <c r="D70" s="41"/>
    </row>
    <row r="71" spans="1:6" x14ac:dyDescent="0.25">
      <c r="A71" s="46"/>
      <c r="B71" s="46"/>
      <c r="C71" s="46"/>
      <c r="D71" s="46"/>
    </row>
    <row r="72" spans="1:6" ht="21" x14ac:dyDescent="0.35">
      <c r="A72" s="46"/>
      <c r="B72" s="47" t="s">
        <v>90</v>
      </c>
      <c r="C72" s="48">
        <f>C30+C42+C52+C61+C69</f>
        <v>1639.3899999999999</v>
      </c>
      <c r="D72" s="49" t="s">
        <v>95</v>
      </c>
    </row>
    <row r="73" spans="1:6" ht="21" x14ac:dyDescent="0.35">
      <c r="A73" s="46"/>
      <c r="B73" s="47"/>
      <c r="C73" s="48"/>
      <c r="D73" s="46"/>
    </row>
    <row r="74" spans="1:6" x14ac:dyDescent="0.25">
      <c r="A74" s="46"/>
      <c r="B74" s="56" t="s">
        <v>96</v>
      </c>
      <c r="C74" s="56"/>
      <c r="D74" s="46"/>
    </row>
    <row r="75" spans="1:6" x14ac:dyDescent="0.25">
      <c r="A75" s="46"/>
      <c r="B75" s="56" t="s">
        <v>94</v>
      </c>
      <c r="C75" s="56"/>
      <c r="D75" s="46"/>
    </row>
    <row r="76" spans="1:6" x14ac:dyDescent="0.25">
      <c r="A76" s="46"/>
      <c r="B76" s="50"/>
      <c r="C76" s="50"/>
      <c r="D76" s="46"/>
    </row>
    <row r="77" spans="1:6" x14ac:dyDescent="0.25">
      <c r="A77" s="46"/>
      <c r="B77" s="51" t="s">
        <v>107</v>
      </c>
      <c r="C77" s="53"/>
      <c r="D77" s="46"/>
    </row>
    <row r="78" spans="1:6" x14ac:dyDescent="0.25">
      <c r="A78" s="46"/>
      <c r="B78" s="51" t="s">
        <v>105</v>
      </c>
      <c r="C78" s="52"/>
      <c r="D78" s="46"/>
    </row>
    <row r="79" spans="1:6" x14ac:dyDescent="0.25">
      <c r="A79" s="46"/>
      <c r="B79" s="46"/>
      <c r="C79" s="46"/>
      <c r="D79" s="46"/>
    </row>
  </sheetData>
  <sheetProtection algorithmName="SHA-512" hashValue="Kc18doQOJhDvkZHNV2/SIjuXP3c0lHXGM1Pp7fuEK0tZu1244vBmR17ji3DErEsDlkCl/AT72T05F5094jxN5Q==" saltValue="1Kt8LA/dKRFVaiWWigB2Uw==" spinCount="100000" sheet="1" selectLockedCells="1"/>
  <mergeCells count="7">
    <mergeCell ref="B78:C78"/>
    <mergeCell ref="B77:C77"/>
    <mergeCell ref="A1:D1"/>
    <mergeCell ref="B74:C74"/>
    <mergeCell ref="B75:C75"/>
    <mergeCell ref="B33:C33"/>
    <mergeCell ref="B32:C32"/>
  </mergeCells>
  <phoneticPr fontId="11" type="noConversion"/>
  <hyperlinks>
    <hyperlink ref="B33" r:id="rId1" xr:uid="{935E80F1-AA64-4842-A8A1-D48E627D9FE9}"/>
  </hyperlinks>
  <pageMargins left="0.7" right="0.7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NSFR Fee Calc Estimate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Stephanie Marcinkiewicz</dc:creator>
  <cp:lastModifiedBy>Stephanie Marcinkiewicz</cp:lastModifiedBy>
  <dcterms:created xsi:type="dcterms:W3CDTF">2021-02-11T23:51:36Z</dcterms:created>
  <dcterms:modified xsi:type="dcterms:W3CDTF">2024-08-12T16:25:54Z</dcterms:modified>
</cp:coreProperties>
</file>